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5150082ea0ffbfd3/Documenti/personale/CapitalMente/Risorse/Excel/"/>
    </mc:Choice>
  </mc:AlternateContent>
  <xr:revisionPtr revIDLastSave="49" documentId="8_{ACCBC5F0-D5C2-4BDC-A6EF-2D59BC525A12}" xr6:coauthVersionLast="47" xr6:coauthVersionMax="47" xr10:uidLastSave="{31EA26CD-819F-4972-A63B-C9661E6ABDEC}"/>
  <bookViews>
    <workbookView xWindow="28680" yWindow="-120" windowWidth="29040" windowHeight="17520" xr2:uid="{BFF840B9-1BFA-4584-A120-150B7AD2C6C5}"/>
  </bookViews>
  <sheets>
    <sheet name="Confronti" sheetId="1" r:id="rId1"/>
    <sheet name="Riepilogo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" i="2" l="1"/>
  <c r="B8" i="2"/>
  <c r="B9" i="2" s="1"/>
  <c r="C4" i="2"/>
  <c r="C5" i="2" s="1"/>
  <c r="B4" i="2"/>
  <c r="B5" i="2" s="1"/>
  <c r="C9" i="2"/>
  <c r="S19" i="1"/>
  <c r="I25" i="1"/>
  <c r="S16" i="1"/>
  <c r="S6" i="1"/>
  <c r="R7" i="1"/>
  <c r="S7" i="1"/>
  <c r="S5" i="1"/>
  <c r="S17" i="1"/>
  <c r="N5" i="1"/>
  <c r="N17" i="1"/>
  <c r="N18" i="1"/>
  <c r="N19" i="1"/>
  <c r="N22" i="1"/>
  <c r="I5" i="1"/>
  <c r="I6" i="1"/>
  <c r="I23" i="1"/>
  <c r="D5" i="1"/>
  <c r="D16" i="1"/>
  <c r="D17" i="1"/>
  <c r="D28" i="1"/>
  <c r="D29" i="1"/>
  <c r="D30" i="1"/>
  <c r="D32" i="1"/>
  <c r="D38" i="1"/>
  <c r="R8" i="1"/>
  <c r="S8" i="1" s="1"/>
  <c r="P9" i="1"/>
  <c r="P10" i="1" s="1"/>
  <c r="P11" i="1" s="1"/>
  <c r="R9" i="1"/>
  <c r="S9" i="1" s="1"/>
  <c r="R10" i="1"/>
  <c r="S10" i="1" s="1"/>
  <c r="R11" i="1"/>
  <c r="S11" i="1" s="1"/>
  <c r="R12" i="1"/>
  <c r="S12" i="1" s="1"/>
  <c r="R13" i="1"/>
  <c r="S13" i="1" s="1"/>
  <c r="R14" i="1"/>
  <c r="S14" i="1" s="1"/>
  <c r="R15" i="1"/>
  <c r="S15" i="1" s="1"/>
  <c r="H6" i="1"/>
  <c r="M21" i="1"/>
  <c r="N21" i="1" s="1"/>
  <c r="M20" i="1"/>
  <c r="N20" i="1" s="1"/>
  <c r="M19" i="1"/>
  <c r="M18" i="1"/>
  <c r="M17" i="1"/>
  <c r="M16" i="1"/>
  <c r="N16" i="1" s="1"/>
  <c r="M15" i="1"/>
  <c r="N15" i="1" s="1"/>
  <c r="M14" i="1"/>
  <c r="N14" i="1" s="1"/>
  <c r="M13" i="1"/>
  <c r="N13" i="1" s="1"/>
  <c r="M12" i="1"/>
  <c r="N12" i="1" s="1"/>
  <c r="M11" i="1"/>
  <c r="N11" i="1" s="1"/>
  <c r="M10" i="1"/>
  <c r="N10" i="1" s="1"/>
  <c r="M9" i="1"/>
  <c r="N9" i="1" s="1"/>
  <c r="M8" i="1"/>
  <c r="N8" i="1" s="1"/>
  <c r="M7" i="1"/>
  <c r="N7" i="1" s="1"/>
  <c r="K7" i="1"/>
  <c r="K8" i="1" s="1"/>
  <c r="M6" i="1"/>
  <c r="N6" i="1" s="1"/>
  <c r="C37" i="1"/>
  <c r="D37" i="1" s="1"/>
  <c r="H22" i="1"/>
  <c r="I22" i="1" s="1"/>
  <c r="H21" i="1"/>
  <c r="I21" i="1" s="1"/>
  <c r="H20" i="1"/>
  <c r="I20" i="1" s="1"/>
  <c r="H19" i="1"/>
  <c r="I19" i="1" s="1"/>
  <c r="H18" i="1"/>
  <c r="I18" i="1" s="1"/>
  <c r="H17" i="1"/>
  <c r="I17" i="1" s="1"/>
  <c r="H16" i="1"/>
  <c r="I16" i="1" s="1"/>
  <c r="H15" i="1"/>
  <c r="I15" i="1" s="1"/>
  <c r="H14" i="1"/>
  <c r="I14" i="1" s="1"/>
  <c r="H13" i="1"/>
  <c r="I13" i="1" s="1"/>
  <c r="H12" i="1"/>
  <c r="I12" i="1" s="1"/>
  <c r="H11" i="1"/>
  <c r="I11" i="1" s="1"/>
  <c r="H10" i="1"/>
  <c r="I10" i="1" s="1"/>
  <c r="H9" i="1"/>
  <c r="I9" i="1" s="1"/>
  <c r="H8" i="1"/>
  <c r="I8" i="1" s="1"/>
  <c r="F8" i="1"/>
  <c r="F9" i="1" s="1"/>
  <c r="F10" i="1" s="1"/>
  <c r="F11" i="1" s="1"/>
  <c r="F12" i="1" s="1"/>
  <c r="F13" i="1" s="1"/>
  <c r="F14" i="1" s="1"/>
  <c r="F15" i="1" s="1"/>
  <c r="F16" i="1" s="1"/>
  <c r="F17" i="1" s="1"/>
  <c r="F18" i="1" s="1"/>
  <c r="F19" i="1" s="1"/>
  <c r="F20" i="1" s="1"/>
  <c r="F21" i="1" s="1"/>
  <c r="F22" i="1" s="1"/>
  <c r="F23" i="1" s="1"/>
  <c r="H7" i="1"/>
  <c r="I7" i="1" s="1"/>
  <c r="C36" i="1"/>
  <c r="D36" i="1" s="1"/>
  <c r="C35" i="1"/>
  <c r="D35" i="1" s="1"/>
  <c r="C34" i="1"/>
  <c r="D34" i="1" s="1"/>
  <c r="C33" i="1"/>
  <c r="D33" i="1" s="1"/>
  <c r="C32" i="1"/>
  <c r="C31" i="1"/>
  <c r="D31" i="1" s="1"/>
  <c r="C30" i="1"/>
  <c r="C29" i="1"/>
  <c r="C28" i="1"/>
  <c r="C27" i="1"/>
  <c r="D27" i="1" s="1"/>
  <c r="C26" i="1"/>
  <c r="D26" i="1" s="1"/>
  <c r="C25" i="1"/>
  <c r="D25" i="1" s="1"/>
  <c r="C24" i="1"/>
  <c r="D24" i="1" s="1"/>
  <c r="C23" i="1"/>
  <c r="D23" i="1" s="1"/>
  <c r="C22" i="1"/>
  <c r="D22" i="1" s="1"/>
  <c r="C7" i="1"/>
  <c r="D7" i="1" s="1"/>
  <c r="C8" i="1"/>
  <c r="D8" i="1" s="1"/>
  <c r="C9" i="1"/>
  <c r="D9" i="1" s="1"/>
  <c r="C10" i="1"/>
  <c r="D10" i="1" s="1"/>
  <c r="C11" i="1"/>
  <c r="D11" i="1" s="1"/>
  <c r="C12" i="1"/>
  <c r="D12" i="1" s="1"/>
  <c r="C13" i="1"/>
  <c r="D13" i="1" s="1"/>
  <c r="C14" i="1"/>
  <c r="D14" i="1" s="1"/>
  <c r="C15" i="1"/>
  <c r="D15" i="1" s="1"/>
  <c r="C16" i="1"/>
  <c r="C17" i="1"/>
  <c r="C18" i="1"/>
  <c r="D18" i="1" s="1"/>
  <c r="C19" i="1"/>
  <c r="D19" i="1" s="1"/>
  <c r="C20" i="1"/>
  <c r="D20" i="1" s="1"/>
  <c r="C21" i="1"/>
  <c r="D21" i="1" s="1"/>
  <c r="C6" i="1"/>
  <c r="D6" i="1" s="1"/>
  <c r="A7" i="1"/>
  <c r="A8" i="1" s="1"/>
  <c r="I2" i="1" l="1"/>
  <c r="P12" i="1"/>
  <c r="P13" i="1" s="1"/>
  <c r="P14" i="1" s="1"/>
  <c r="P15" i="1" s="1"/>
  <c r="P16" i="1" s="1"/>
  <c r="H2" i="1"/>
  <c r="K9" i="1"/>
  <c r="A9" i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D2" i="1" l="1"/>
  <c r="P17" i="1"/>
  <c r="K10" i="1"/>
  <c r="K11" i="1" s="1"/>
  <c r="K12" i="1" s="1"/>
  <c r="K13" i="1" s="1"/>
  <c r="K14" i="1" s="1"/>
  <c r="K15" i="1" s="1"/>
  <c r="K16" i="1" s="1"/>
  <c r="K17" i="1" s="1"/>
  <c r="K18" i="1" s="1"/>
  <c r="K19" i="1" s="1"/>
  <c r="K20" i="1" s="1"/>
  <c r="K21" i="1" s="1"/>
  <c r="K22" i="1" s="1"/>
  <c r="C2" i="1"/>
  <c r="S2" i="1" l="1"/>
  <c r="N2" i="1"/>
  <c r="M2" i="1"/>
  <c r="R2" i="1"/>
</calcChain>
</file>

<file path=xl/sharedStrings.xml><?xml version="1.0" encoding="utf-8"?>
<sst xmlns="http://schemas.openxmlformats.org/spreadsheetml/2006/main" count="47" uniqueCount="20">
  <si>
    <t>Tasso</t>
  </si>
  <si>
    <t>Flussi</t>
  </si>
  <si>
    <t>BTP Più (detenuto 8 anni)</t>
  </si>
  <si>
    <t>TIR</t>
  </si>
  <si>
    <t>IT0003256820 - BTP 01/02/2033 5,75%(No CACs)</t>
  </si>
  <si>
    <t>Acquisto</t>
  </si>
  <si>
    <t>Rateo</t>
  </si>
  <si>
    <t>Rimborso</t>
  </si>
  <si>
    <t>BTP Più (detenuto 4 anni)</t>
  </si>
  <si>
    <t>IT0005566408 - BTP 01/02/2029 4,1% - MOT</t>
  </si>
  <si>
    <t>Flussi Netti</t>
  </si>
  <si>
    <t>Data</t>
  </si>
  <si>
    <t>Disaggio</t>
  </si>
  <si>
    <t>Minusvalenza da sfruttare</t>
  </si>
  <si>
    <t>BTP Più</t>
  </si>
  <si>
    <t>BTP 01/02/2033 5,75%(No CACs)</t>
  </si>
  <si>
    <t xml:space="preserve">Investimento </t>
  </si>
  <si>
    <t>Lordo dopo 8 anni</t>
  </si>
  <si>
    <t>Lordo dopo 4 anni</t>
  </si>
  <si>
    <t>BTP 01/02/2029 4,1% - MOT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</si>
</sst>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43" formatCode="_-* #,##0.00_-;\-* #,##0.00_-;_-* &quot;-&quot;??_-;_-@_-"/>
  </numFmts>
  <fonts count="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44" fontId="1" fillId="0" borderId="0" applyFont="0" applyFill="0" applyBorder="0" applyAlignment="0" applyProtection="0"/>
  </cellStyleXfs>
  <cellXfs count="34">
    <xf numFmtId="0" fontId="0" fillId="0" borderId="0" xfId="0"/>
    <xf numFmtId="14" fontId="0" fillId="0" borderId="0" xfId="0" applyNumberFormat="1"/>
    <xf numFmtId="10" fontId="0" fillId="0" borderId="0" xfId="0" applyNumberFormat="1"/>
    <xf numFmtId="0" fontId="0" fillId="0" borderId="0" xfId="0" applyAlignment="1">
      <alignment horizontal="right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43" fontId="0" fillId="0" borderId="0" xfId="1" applyFont="1"/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right"/>
    </xf>
    <xf numFmtId="10" fontId="0" fillId="0" borderId="1" xfId="2" applyNumberFormat="1" applyFont="1" applyBorder="1"/>
    <xf numFmtId="0" fontId="0" fillId="0" borderId="1" xfId="0" applyBorder="1"/>
    <xf numFmtId="0" fontId="0" fillId="0" borderId="1" xfId="0" applyBorder="1" applyAlignment="1">
      <alignment horizontal="left"/>
    </xf>
    <xf numFmtId="43" fontId="0" fillId="0" borderId="1" xfId="1" applyFont="1" applyBorder="1"/>
    <xf numFmtId="14" fontId="0" fillId="0" borderId="1" xfId="0" applyNumberFormat="1" applyBorder="1"/>
    <xf numFmtId="10" fontId="0" fillId="0" borderId="1" xfId="0" applyNumberFormat="1" applyBorder="1" applyAlignment="1">
      <alignment horizontal="right"/>
    </xf>
    <xf numFmtId="0" fontId="0" fillId="0" borderId="1" xfId="0" applyBorder="1" applyAlignment="1">
      <alignment horizontal="center" vertical="center" wrapText="1"/>
    </xf>
    <xf numFmtId="10" fontId="0" fillId="0" borderId="1" xfId="0" applyNumberFormat="1" applyBorder="1"/>
    <xf numFmtId="43" fontId="0" fillId="0" borderId="1" xfId="1" applyFont="1" applyFill="1" applyBorder="1"/>
    <xf numFmtId="14" fontId="0" fillId="4" borderId="1" xfId="0" applyNumberFormat="1" applyFill="1" applyBorder="1"/>
    <xf numFmtId="10" fontId="0" fillId="4" borderId="1" xfId="0" applyNumberFormat="1" applyFill="1" applyBorder="1" applyAlignment="1">
      <alignment horizontal="right"/>
    </xf>
    <xf numFmtId="43" fontId="0" fillId="4" borderId="1" xfId="1" applyFont="1" applyFill="1" applyBorder="1"/>
    <xf numFmtId="14" fontId="3" fillId="0" borderId="0" xfId="3" applyNumberFormat="1"/>
    <xf numFmtId="0" fontId="3" fillId="0" borderId="0" xfId="3"/>
    <xf numFmtId="14" fontId="0" fillId="5" borderId="1" xfId="0" applyNumberFormat="1" applyFill="1" applyBorder="1"/>
    <xf numFmtId="2" fontId="0" fillId="5" borderId="1" xfId="2" applyNumberFormat="1" applyFont="1" applyFill="1" applyBorder="1"/>
    <xf numFmtId="0" fontId="2" fillId="3" borderId="1" xfId="0" applyFont="1" applyFill="1" applyBorder="1" applyAlignment="1">
      <alignment horizontal="center" vertical="center"/>
    </xf>
    <xf numFmtId="0" fontId="3" fillId="2" borderId="1" xfId="3" applyFill="1" applyBorder="1" applyAlignment="1">
      <alignment horizontal="center" vertical="center" wrapText="1"/>
    </xf>
    <xf numFmtId="14" fontId="0" fillId="5" borderId="1" xfId="0" applyNumberFormat="1" applyFill="1" applyBorder="1" applyAlignment="1">
      <alignment horizontal="center"/>
    </xf>
    <xf numFmtId="44" fontId="0" fillId="0" borderId="1" xfId="0" applyNumberFormat="1" applyBorder="1"/>
    <xf numFmtId="0" fontId="2" fillId="3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wrapText="1"/>
    </xf>
    <xf numFmtId="44" fontId="4" fillId="6" borderId="1" xfId="4" applyFont="1" applyFill="1" applyBorder="1"/>
  </cellXfs>
  <cellStyles count="5">
    <cellStyle name="Collegamento ipertestuale" xfId="3" builtinId="8"/>
    <cellStyle name="Migliaia" xfId="1" builtinId="3"/>
    <cellStyle name="Normale" xfId="0" builtinId="0"/>
    <cellStyle name="Percentuale" xfId="2" builtinId="5"/>
    <cellStyle name="Valuta" xfId="4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simpletoolsforinvestors.eu/details.php?r=italia&amp;securityid=8603&amp;marketcode=MOT" TargetMode="External"/><Relationship Id="rId1" Type="http://schemas.openxmlformats.org/officeDocument/2006/relationships/hyperlink" Target="https://www.simpletoolsforinvestors.eu/details.php?r=italia&amp;securityid=3947&amp;marketcode=MO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EF766E-125D-4417-B47E-301F0A61AFC8}">
  <dimension ref="A1:S39"/>
  <sheetViews>
    <sheetView tabSelected="1" workbookViewId="0">
      <selection activeCell="H33" sqref="H33"/>
    </sheetView>
  </sheetViews>
  <sheetFormatPr defaultRowHeight="15" x14ac:dyDescent="0.25"/>
  <cols>
    <col min="1" max="1" width="11.85546875" customWidth="1"/>
    <col min="2" max="2" width="11.85546875" style="3" customWidth="1"/>
    <col min="3" max="4" width="11.85546875" style="7" customWidth="1"/>
    <col min="5" max="5" width="3.7109375" customWidth="1"/>
    <col min="6" max="7" width="11.85546875" customWidth="1"/>
    <col min="8" max="9" width="11.85546875" style="7" customWidth="1"/>
    <col min="10" max="10" width="16.5703125" customWidth="1"/>
    <col min="11" max="14" width="11.85546875" customWidth="1"/>
    <col min="15" max="15" width="3.7109375" customWidth="1"/>
    <col min="16" max="19" width="11.85546875" customWidth="1"/>
  </cols>
  <sheetData>
    <row r="1" spans="1:19" s="5" customFormat="1" ht="28.5" customHeight="1" x14ac:dyDescent="0.25">
      <c r="A1" s="27" t="s">
        <v>2</v>
      </c>
      <c r="B1" s="27"/>
      <c r="C1" s="27"/>
      <c r="D1" s="27"/>
      <c r="F1" s="28" t="s">
        <v>4</v>
      </c>
      <c r="G1" s="28"/>
      <c r="H1" s="28"/>
      <c r="I1" s="28"/>
      <c r="K1" s="27" t="s">
        <v>8</v>
      </c>
      <c r="L1" s="27"/>
      <c r="M1" s="27"/>
      <c r="N1" s="27"/>
      <c r="P1" s="28" t="s">
        <v>9</v>
      </c>
      <c r="Q1" s="28"/>
      <c r="R1" s="28"/>
      <c r="S1" s="28"/>
    </row>
    <row r="2" spans="1:19" s="5" customFormat="1" ht="15" customHeight="1" x14ac:dyDescent="0.25">
      <c r="A2" s="9"/>
      <c r="B2" s="10" t="s">
        <v>3</v>
      </c>
      <c r="C2" s="11">
        <f>XIRR(C5:C38,A5:A38)</f>
        <v>3.20093423128128E-2</v>
      </c>
      <c r="D2" s="11">
        <f>XIRR(D5:D38,A5:A38)</f>
        <v>2.799528539180756E-2</v>
      </c>
      <c r="F2" s="17"/>
      <c r="G2" s="10" t="s">
        <v>3</v>
      </c>
      <c r="H2" s="11">
        <f>XIRR(H5:H38,$F5:$F38)</f>
        <v>3.3165428042411807E-2</v>
      </c>
      <c r="I2" s="11">
        <f>XIRR(I5:I38,$F5:$F38)</f>
        <v>2.8748288750648502E-2</v>
      </c>
      <c r="K2" s="9"/>
      <c r="L2" s="10" t="s">
        <v>3</v>
      </c>
      <c r="M2" s="11">
        <f>XIRR(M5:M38,$K5:$K38)</f>
        <v>2.8114405274391172E-2</v>
      </c>
      <c r="N2" s="11">
        <f>XIRR(N5:N38,$K5:$K38)</f>
        <v>2.4568721652030948E-2</v>
      </c>
      <c r="P2" s="17"/>
      <c r="Q2" s="10" t="s">
        <v>3</v>
      </c>
      <c r="R2" s="11">
        <f>XIRR(R5:R38,$P5:$P38)</f>
        <v>2.7529743313789368E-2</v>
      </c>
      <c r="S2" s="11">
        <f>XIRR(S5:S38,$P5:$P38)</f>
        <v>2.3743322491645808E-2</v>
      </c>
    </row>
    <row r="3" spans="1:19" s="5" customFormat="1" ht="15" customHeight="1" x14ac:dyDescent="0.25">
      <c r="A3" s="4"/>
      <c r="B3" s="8"/>
      <c r="C3" s="4"/>
      <c r="D3" s="4"/>
      <c r="F3" s="6"/>
      <c r="G3" s="6"/>
      <c r="H3" s="6"/>
      <c r="I3" s="6"/>
      <c r="K3" s="4"/>
      <c r="L3" s="8"/>
      <c r="M3" s="4"/>
      <c r="N3" s="4"/>
      <c r="P3" s="6"/>
      <c r="Q3" s="6"/>
      <c r="R3" s="6"/>
      <c r="S3" s="6"/>
    </row>
    <row r="4" spans="1:19" ht="15" customHeight="1" x14ac:dyDescent="0.25">
      <c r="A4" s="12" t="s">
        <v>11</v>
      </c>
      <c r="B4" s="13" t="s">
        <v>0</v>
      </c>
      <c r="C4" s="14" t="s">
        <v>1</v>
      </c>
      <c r="D4" s="14" t="s">
        <v>10</v>
      </c>
      <c r="F4" s="12" t="s">
        <v>11</v>
      </c>
      <c r="G4" s="13" t="s">
        <v>0</v>
      </c>
      <c r="H4" s="14" t="s">
        <v>1</v>
      </c>
      <c r="I4" s="14" t="s">
        <v>10</v>
      </c>
      <c r="K4" s="12" t="s">
        <v>11</v>
      </c>
      <c r="L4" s="13" t="s">
        <v>0</v>
      </c>
      <c r="M4" s="14" t="s">
        <v>1</v>
      </c>
      <c r="N4" s="14" t="s">
        <v>10</v>
      </c>
      <c r="P4" s="12" t="s">
        <v>11</v>
      </c>
      <c r="Q4" s="13" t="s">
        <v>0</v>
      </c>
      <c r="R4" s="14" t="s">
        <v>1</v>
      </c>
      <c r="S4" s="14" t="s">
        <v>10</v>
      </c>
    </row>
    <row r="5" spans="1:19" ht="15" customHeight="1" x14ac:dyDescent="0.25">
      <c r="A5" s="15">
        <v>45705</v>
      </c>
      <c r="B5" s="10" t="s">
        <v>5</v>
      </c>
      <c r="C5" s="14">
        <v>-100</v>
      </c>
      <c r="D5" s="14">
        <f>C5</f>
        <v>-100</v>
      </c>
      <c r="F5" s="15">
        <v>45702</v>
      </c>
      <c r="G5" s="15" t="s">
        <v>5</v>
      </c>
      <c r="H5" s="14">
        <v>-117.1</v>
      </c>
      <c r="I5" s="14">
        <f>H5</f>
        <v>-117.1</v>
      </c>
      <c r="K5" s="15">
        <v>45705</v>
      </c>
      <c r="L5" s="10" t="s">
        <v>5</v>
      </c>
      <c r="M5" s="14">
        <v>-100</v>
      </c>
      <c r="N5" s="14">
        <f>M5</f>
        <v>-100</v>
      </c>
      <c r="P5" s="15">
        <v>45702</v>
      </c>
      <c r="Q5" s="15" t="s">
        <v>5</v>
      </c>
      <c r="R5" s="14">
        <v>-105.09</v>
      </c>
      <c r="S5" s="14">
        <f>R5</f>
        <v>-105.09</v>
      </c>
    </row>
    <row r="6" spans="1:19" ht="15" customHeight="1" x14ac:dyDescent="0.25">
      <c r="A6" s="15">
        <v>45802</v>
      </c>
      <c r="B6" s="16">
        <v>2.8000000000000001E-2</v>
      </c>
      <c r="C6" s="14">
        <f>100*B6/4</f>
        <v>0.70000000000000007</v>
      </c>
      <c r="D6" s="14">
        <f t="shared" ref="D6:D37" si="0">C6*(1-12.5%)</f>
        <v>0.61250000000000004</v>
      </c>
      <c r="F6" s="15">
        <v>45702</v>
      </c>
      <c r="G6" s="12" t="s">
        <v>6</v>
      </c>
      <c r="H6" s="14">
        <f>(-20.65)/100</f>
        <v>-0.20649999999999999</v>
      </c>
      <c r="I6" s="14">
        <f>(-20.65+2.58)/100</f>
        <v>-0.1807</v>
      </c>
      <c r="K6" s="15">
        <v>45802</v>
      </c>
      <c r="L6" s="16">
        <v>2.8000000000000001E-2</v>
      </c>
      <c r="M6" s="14">
        <f>100*L6/4</f>
        <v>0.70000000000000007</v>
      </c>
      <c r="N6" s="14">
        <f t="shared" ref="N6:N21" si="1">M6*(1-12.5%)</f>
        <v>0.61250000000000004</v>
      </c>
      <c r="P6" s="15">
        <v>45702</v>
      </c>
      <c r="Q6" s="12" t="s">
        <v>12</v>
      </c>
      <c r="R6" s="14"/>
      <c r="S6" s="14">
        <f>3.95/100</f>
        <v>3.95E-2</v>
      </c>
    </row>
    <row r="7" spans="1:19" ht="15" customHeight="1" x14ac:dyDescent="0.25">
      <c r="A7" s="15">
        <f>EDATE(A6, 3)</f>
        <v>45894</v>
      </c>
      <c r="B7" s="16">
        <v>2.8000000000000001E-2</v>
      </c>
      <c r="C7" s="14">
        <f t="shared" ref="C7:C36" si="2">100*B7/4</f>
        <v>0.70000000000000007</v>
      </c>
      <c r="D7" s="14">
        <f t="shared" si="0"/>
        <v>0.61250000000000004</v>
      </c>
      <c r="F7" s="15">
        <v>45870</v>
      </c>
      <c r="G7" s="18">
        <v>5.7500000000000002E-2</v>
      </c>
      <c r="H7" s="14">
        <f>(100*G7)/2</f>
        <v>2.875</v>
      </c>
      <c r="I7" s="14">
        <f t="shared" ref="I7:I22" si="3">H7*(1-12.5%)</f>
        <v>2.515625</v>
      </c>
      <c r="K7" s="15">
        <f>EDATE(K6, 3)</f>
        <v>45894</v>
      </c>
      <c r="L7" s="16">
        <v>2.8000000000000001E-2</v>
      </c>
      <c r="M7" s="14">
        <f t="shared" ref="M7:M21" si="4">100*L7/4</f>
        <v>0.70000000000000007</v>
      </c>
      <c r="N7" s="14">
        <f t="shared" si="1"/>
        <v>0.61250000000000004</v>
      </c>
      <c r="P7" s="15">
        <v>45702</v>
      </c>
      <c r="Q7" s="12" t="s">
        <v>6</v>
      </c>
      <c r="R7" s="14">
        <f>(-14.72)/100</f>
        <v>-0.1472</v>
      </c>
      <c r="S7" s="14">
        <f>(-14.72+1.84)/100</f>
        <v>-0.1288</v>
      </c>
    </row>
    <row r="8" spans="1:19" ht="15" customHeight="1" x14ac:dyDescent="0.25">
      <c r="A8" s="15">
        <f>EDATE(A7, 3)</f>
        <v>45986</v>
      </c>
      <c r="B8" s="16">
        <v>2.8000000000000001E-2</v>
      </c>
      <c r="C8" s="14">
        <f t="shared" si="2"/>
        <v>0.70000000000000007</v>
      </c>
      <c r="D8" s="14">
        <f t="shared" si="0"/>
        <v>0.61250000000000004</v>
      </c>
      <c r="F8" s="15">
        <f>EDATE(F7, 6)</f>
        <v>46054</v>
      </c>
      <c r="G8" s="18">
        <v>5.7500000000000002E-2</v>
      </c>
      <c r="H8" s="14">
        <f t="shared" ref="H8:H22" si="5">(100*G8)/2</f>
        <v>2.875</v>
      </c>
      <c r="I8" s="14">
        <f t="shared" si="3"/>
        <v>2.515625</v>
      </c>
      <c r="K8" s="15">
        <f>EDATE(K7, 3)</f>
        <v>45986</v>
      </c>
      <c r="L8" s="16">
        <v>2.8000000000000001E-2</v>
      </c>
      <c r="M8" s="14">
        <f t="shared" si="4"/>
        <v>0.70000000000000007</v>
      </c>
      <c r="N8" s="14">
        <f t="shared" si="1"/>
        <v>0.61250000000000004</v>
      </c>
      <c r="P8" s="15">
        <v>45870</v>
      </c>
      <c r="Q8" s="18">
        <v>4.1000000000000002E-2</v>
      </c>
      <c r="R8" s="14">
        <f t="shared" ref="R8:R15" si="6">(100*Q8)/2</f>
        <v>2.0500000000000003</v>
      </c>
      <c r="S8" s="14">
        <f t="shared" ref="S8:S15" si="7">R8*(1-12.5%)</f>
        <v>1.7937500000000002</v>
      </c>
    </row>
    <row r="9" spans="1:19" ht="15" customHeight="1" x14ac:dyDescent="0.25">
      <c r="A9" s="15">
        <f t="shared" ref="A9:A36" si="8">EDATE(A8, 3)</f>
        <v>46078</v>
      </c>
      <c r="B9" s="16">
        <v>2.8000000000000001E-2</v>
      </c>
      <c r="C9" s="14">
        <f t="shared" si="2"/>
        <v>0.70000000000000007</v>
      </c>
      <c r="D9" s="14">
        <f t="shared" si="0"/>
        <v>0.61250000000000004</v>
      </c>
      <c r="F9" s="15">
        <f t="shared" ref="F9:F21" si="9">EDATE(F8, 6)</f>
        <v>46235</v>
      </c>
      <c r="G9" s="18">
        <v>5.7500000000000002E-2</v>
      </c>
      <c r="H9" s="14">
        <f t="shared" si="5"/>
        <v>2.875</v>
      </c>
      <c r="I9" s="14">
        <f t="shared" si="3"/>
        <v>2.515625</v>
      </c>
      <c r="K9" s="15">
        <f t="shared" ref="K9:K21" si="10">EDATE(K8, 3)</f>
        <v>46078</v>
      </c>
      <c r="L9" s="16">
        <v>2.8000000000000001E-2</v>
      </c>
      <c r="M9" s="14">
        <f t="shared" si="4"/>
        <v>0.70000000000000007</v>
      </c>
      <c r="N9" s="14">
        <f t="shared" si="1"/>
        <v>0.61250000000000004</v>
      </c>
      <c r="P9" s="15">
        <f t="shared" ref="P9:P15" si="11">EDATE(P8, 6)</f>
        <v>46054</v>
      </c>
      <c r="Q9" s="18">
        <v>4.1000000000000002E-2</v>
      </c>
      <c r="R9" s="14">
        <f t="shared" si="6"/>
        <v>2.0500000000000003</v>
      </c>
      <c r="S9" s="14">
        <f t="shared" si="7"/>
        <v>1.7937500000000002</v>
      </c>
    </row>
    <row r="10" spans="1:19" ht="15" customHeight="1" x14ac:dyDescent="0.25">
      <c r="A10" s="15">
        <f t="shared" si="8"/>
        <v>46167</v>
      </c>
      <c r="B10" s="16">
        <v>2.8000000000000001E-2</v>
      </c>
      <c r="C10" s="14">
        <f t="shared" si="2"/>
        <v>0.70000000000000007</v>
      </c>
      <c r="D10" s="14">
        <f t="shared" si="0"/>
        <v>0.61250000000000004</v>
      </c>
      <c r="F10" s="15">
        <f t="shared" si="9"/>
        <v>46419</v>
      </c>
      <c r="G10" s="18">
        <v>5.7500000000000002E-2</v>
      </c>
      <c r="H10" s="14">
        <f t="shared" si="5"/>
        <v>2.875</v>
      </c>
      <c r="I10" s="14">
        <f t="shared" si="3"/>
        <v>2.515625</v>
      </c>
      <c r="K10" s="15">
        <f t="shared" si="10"/>
        <v>46167</v>
      </c>
      <c r="L10" s="16">
        <v>2.8000000000000001E-2</v>
      </c>
      <c r="M10" s="14">
        <f t="shared" si="4"/>
        <v>0.70000000000000007</v>
      </c>
      <c r="N10" s="14">
        <f t="shared" si="1"/>
        <v>0.61250000000000004</v>
      </c>
      <c r="P10" s="15">
        <f t="shared" si="11"/>
        <v>46235</v>
      </c>
      <c r="Q10" s="18">
        <v>4.1000000000000002E-2</v>
      </c>
      <c r="R10" s="14">
        <f t="shared" si="6"/>
        <v>2.0500000000000003</v>
      </c>
      <c r="S10" s="14">
        <f t="shared" si="7"/>
        <v>1.7937500000000002</v>
      </c>
    </row>
    <row r="11" spans="1:19" ht="15" customHeight="1" x14ac:dyDescent="0.25">
      <c r="A11" s="15">
        <f t="shared" si="8"/>
        <v>46259</v>
      </c>
      <c r="B11" s="16">
        <v>2.8000000000000001E-2</v>
      </c>
      <c r="C11" s="14">
        <f t="shared" si="2"/>
        <v>0.70000000000000007</v>
      </c>
      <c r="D11" s="14">
        <f t="shared" si="0"/>
        <v>0.61250000000000004</v>
      </c>
      <c r="F11" s="15">
        <f t="shared" si="9"/>
        <v>46600</v>
      </c>
      <c r="G11" s="18">
        <v>5.7500000000000002E-2</v>
      </c>
      <c r="H11" s="14">
        <f t="shared" si="5"/>
        <v>2.875</v>
      </c>
      <c r="I11" s="14">
        <f t="shared" si="3"/>
        <v>2.515625</v>
      </c>
      <c r="K11" s="15">
        <f t="shared" si="10"/>
        <v>46259</v>
      </c>
      <c r="L11" s="16">
        <v>2.8000000000000001E-2</v>
      </c>
      <c r="M11" s="14">
        <f t="shared" si="4"/>
        <v>0.70000000000000007</v>
      </c>
      <c r="N11" s="14">
        <f t="shared" si="1"/>
        <v>0.61250000000000004</v>
      </c>
      <c r="P11" s="15">
        <f t="shared" si="11"/>
        <v>46419</v>
      </c>
      <c r="Q11" s="18">
        <v>4.1000000000000002E-2</v>
      </c>
      <c r="R11" s="14">
        <f t="shared" si="6"/>
        <v>2.0500000000000003</v>
      </c>
      <c r="S11" s="14">
        <f t="shared" si="7"/>
        <v>1.7937500000000002</v>
      </c>
    </row>
    <row r="12" spans="1:19" ht="15" customHeight="1" x14ac:dyDescent="0.25">
      <c r="A12" s="15">
        <f t="shared" si="8"/>
        <v>46351</v>
      </c>
      <c r="B12" s="16">
        <v>2.8000000000000001E-2</v>
      </c>
      <c r="C12" s="14">
        <f t="shared" si="2"/>
        <v>0.70000000000000007</v>
      </c>
      <c r="D12" s="14">
        <f t="shared" si="0"/>
        <v>0.61250000000000004</v>
      </c>
      <c r="F12" s="15">
        <f t="shared" si="9"/>
        <v>46784</v>
      </c>
      <c r="G12" s="18">
        <v>5.7500000000000002E-2</v>
      </c>
      <c r="H12" s="14">
        <f t="shared" si="5"/>
        <v>2.875</v>
      </c>
      <c r="I12" s="14">
        <f t="shared" si="3"/>
        <v>2.515625</v>
      </c>
      <c r="K12" s="15">
        <f t="shared" si="10"/>
        <v>46351</v>
      </c>
      <c r="L12" s="16">
        <v>2.8000000000000001E-2</v>
      </c>
      <c r="M12" s="14">
        <f t="shared" si="4"/>
        <v>0.70000000000000007</v>
      </c>
      <c r="N12" s="14">
        <f t="shared" si="1"/>
        <v>0.61250000000000004</v>
      </c>
      <c r="P12" s="15">
        <f t="shared" si="11"/>
        <v>46600</v>
      </c>
      <c r="Q12" s="18">
        <v>4.1000000000000002E-2</v>
      </c>
      <c r="R12" s="14">
        <f t="shared" si="6"/>
        <v>2.0500000000000003</v>
      </c>
      <c r="S12" s="14">
        <f t="shared" si="7"/>
        <v>1.7937500000000002</v>
      </c>
    </row>
    <row r="13" spans="1:19" ht="15" customHeight="1" x14ac:dyDescent="0.25">
      <c r="A13" s="15">
        <f t="shared" si="8"/>
        <v>46443</v>
      </c>
      <c r="B13" s="16">
        <v>2.8000000000000001E-2</v>
      </c>
      <c r="C13" s="14">
        <f t="shared" si="2"/>
        <v>0.70000000000000007</v>
      </c>
      <c r="D13" s="14">
        <f t="shared" si="0"/>
        <v>0.61250000000000004</v>
      </c>
      <c r="F13" s="15">
        <f t="shared" si="9"/>
        <v>46966</v>
      </c>
      <c r="G13" s="18">
        <v>5.7500000000000002E-2</v>
      </c>
      <c r="H13" s="14">
        <f t="shared" si="5"/>
        <v>2.875</v>
      </c>
      <c r="I13" s="14">
        <f t="shared" si="3"/>
        <v>2.515625</v>
      </c>
      <c r="K13" s="15">
        <f t="shared" si="10"/>
        <v>46443</v>
      </c>
      <c r="L13" s="16">
        <v>2.8000000000000001E-2</v>
      </c>
      <c r="M13" s="14">
        <f t="shared" si="4"/>
        <v>0.70000000000000007</v>
      </c>
      <c r="N13" s="14">
        <f t="shared" si="1"/>
        <v>0.61250000000000004</v>
      </c>
      <c r="P13" s="15">
        <f t="shared" si="11"/>
        <v>46784</v>
      </c>
      <c r="Q13" s="18">
        <v>4.1000000000000002E-2</v>
      </c>
      <c r="R13" s="14">
        <f t="shared" si="6"/>
        <v>2.0500000000000003</v>
      </c>
      <c r="S13" s="14">
        <f t="shared" si="7"/>
        <v>1.7937500000000002</v>
      </c>
    </row>
    <row r="14" spans="1:19" ht="15" customHeight="1" x14ac:dyDescent="0.25">
      <c r="A14" s="15">
        <f t="shared" si="8"/>
        <v>46532</v>
      </c>
      <c r="B14" s="16">
        <v>2.8000000000000001E-2</v>
      </c>
      <c r="C14" s="14">
        <f t="shared" si="2"/>
        <v>0.70000000000000007</v>
      </c>
      <c r="D14" s="14">
        <f t="shared" si="0"/>
        <v>0.61250000000000004</v>
      </c>
      <c r="F14" s="15">
        <f t="shared" si="9"/>
        <v>47150</v>
      </c>
      <c r="G14" s="18">
        <v>5.7500000000000002E-2</v>
      </c>
      <c r="H14" s="14">
        <f t="shared" si="5"/>
        <v>2.875</v>
      </c>
      <c r="I14" s="14">
        <f t="shared" si="3"/>
        <v>2.515625</v>
      </c>
      <c r="K14" s="15">
        <f t="shared" si="10"/>
        <v>46532</v>
      </c>
      <c r="L14" s="16">
        <v>2.8000000000000001E-2</v>
      </c>
      <c r="M14" s="14">
        <f t="shared" si="4"/>
        <v>0.70000000000000007</v>
      </c>
      <c r="N14" s="14">
        <f t="shared" si="1"/>
        <v>0.61250000000000004</v>
      </c>
      <c r="P14" s="15">
        <f t="shared" si="11"/>
        <v>46966</v>
      </c>
      <c r="Q14" s="18">
        <v>4.1000000000000002E-2</v>
      </c>
      <c r="R14" s="14">
        <f t="shared" si="6"/>
        <v>2.0500000000000003</v>
      </c>
      <c r="S14" s="14">
        <f t="shared" si="7"/>
        <v>1.7937500000000002</v>
      </c>
    </row>
    <row r="15" spans="1:19" ht="15" customHeight="1" x14ac:dyDescent="0.25">
      <c r="A15" s="15">
        <f t="shared" si="8"/>
        <v>46624</v>
      </c>
      <c r="B15" s="16">
        <v>2.8000000000000001E-2</v>
      </c>
      <c r="C15" s="14">
        <f t="shared" si="2"/>
        <v>0.70000000000000007</v>
      </c>
      <c r="D15" s="14">
        <f t="shared" si="0"/>
        <v>0.61250000000000004</v>
      </c>
      <c r="F15" s="15">
        <f t="shared" si="9"/>
        <v>47331</v>
      </c>
      <c r="G15" s="18">
        <v>5.7500000000000002E-2</v>
      </c>
      <c r="H15" s="14">
        <f t="shared" si="5"/>
        <v>2.875</v>
      </c>
      <c r="I15" s="14">
        <f t="shared" si="3"/>
        <v>2.515625</v>
      </c>
      <c r="K15" s="15">
        <f t="shared" si="10"/>
        <v>46624</v>
      </c>
      <c r="L15" s="16">
        <v>2.8000000000000001E-2</v>
      </c>
      <c r="M15" s="14">
        <f t="shared" si="4"/>
        <v>0.70000000000000007</v>
      </c>
      <c r="N15" s="14">
        <f t="shared" si="1"/>
        <v>0.61250000000000004</v>
      </c>
      <c r="P15" s="15">
        <f t="shared" si="11"/>
        <v>47150</v>
      </c>
      <c r="Q15" s="18">
        <v>4.1000000000000002E-2</v>
      </c>
      <c r="R15" s="14">
        <f t="shared" si="6"/>
        <v>2.0500000000000003</v>
      </c>
      <c r="S15" s="14">
        <f t="shared" si="7"/>
        <v>1.7937500000000002</v>
      </c>
    </row>
    <row r="16" spans="1:19" ht="15" customHeight="1" x14ac:dyDescent="0.25">
      <c r="A16" s="15">
        <f t="shared" si="8"/>
        <v>46716</v>
      </c>
      <c r="B16" s="16">
        <v>2.8000000000000001E-2</v>
      </c>
      <c r="C16" s="14">
        <f t="shared" si="2"/>
        <v>0.70000000000000007</v>
      </c>
      <c r="D16" s="14">
        <f t="shared" si="0"/>
        <v>0.61250000000000004</v>
      </c>
      <c r="F16" s="15">
        <f t="shared" si="9"/>
        <v>47515</v>
      </c>
      <c r="G16" s="18">
        <v>5.7500000000000002E-2</v>
      </c>
      <c r="H16" s="14">
        <f t="shared" si="5"/>
        <v>2.875</v>
      </c>
      <c r="I16" s="14">
        <f t="shared" si="3"/>
        <v>2.515625</v>
      </c>
      <c r="K16" s="15">
        <f t="shared" si="10"/>
        <v>46716</v>
      </c>
      <c r="L16" s="16">
        <v>2.8000000000000001E-2</v>
      </c>
      <c r="M16" s="14">
        <f t="shared" si="4"/>
        <v>0.70000000000000007</v>
      </c>
      <c r="N16" s="14">
        <f t="shared" si="1"/>
        <v>0.61250000000000004</v>
      </c>
      <c r="P16" s="15">
        <f>P15</f>
        <v>47150</v>
      </c>
      <c r="Q16" s="16" t="s">
        <v>12</v>
      </c>
      <c r="R16" s="14"/>
      <c r="S16" s="14">
        <f>-15.38/100</f>
        <v>-0.15380000000000002</v>
      </c>
    </row>
    <row r="17" spans="1:19" ht="15" customHeight="1" x14ac:dyDescent="0.25">
      <c r="A17" s="15">
        <f t="shared" si="8"/>
        <v>46808</v>
      </c>
      <c r="B17" s="16">
        <v>2.8000000000000001E-2</v>
      </c>
      <c r="C17" s="14">
        <f t="shared" si="2"/>
        <v>0.70000000000000007</v>
      </c>
      <c r="D17" s="14">
        <f t="shared" si="0"/>
        <v>0.61250000000000004</v>
      </c>
      <c r="F17" s="15">
        <f t="shared" si="9"/>
        <v>47696</v>
      </c>
      <c r="G17" s="18">
        <v>5.7500000000000002E-2</v>
      </c>
      <c r="H17" s="14">
        <f t="shared" si="5"/>
        <v>2.875</v>
      </c>
      <c r="I17" s="14">
        <f t="shared" si="3"/>
        <v>2.515625</v>
      </c>
      <c r="K17" s="15">
        <f t="shared" si="10"/>
        <v>46808</v>
      </c>
      <c r="L17" s="16">
        <v>2.8000000000000001E-2</v>
      </c>
      <c r="M17" s="14">
        <f t="shared" si="4"/>
        <v>0.70000000000000007</v>
      </c>
      <c r="N17" s="14">
        <f t="shared" si="1"/>
        <v>0.61250000000000004</v>
      </c>
      <c r="P17" s="15">
        <f>P15</f>
        <v>47150</v>
      </c>
      <c r="Q17" s="16" t="s">
        <v>7</v>
      </c>
      <c r="R17" s="14">
        <v>100</v>
      </c>
      <c r="S17" s="14">
        <f>R17</f>
        <v>100</v>
      </c>
    </row>
    <row r="18" spans="1:19" ht="15" customHeight="1" x14ac:dyDescent="0.25">
      <c r="A18" s="15">
        <f t="shared" si="8"/>
        <v>46898</v>
      </c>
      <c r="B18" s="16">
        <v>2.8000000000000001E-2</v>
      </c>
      <c r="C18" s="14">
        <f t="shared" si="2"/>
        <v>0.70000000000000007</v>
      </c>
      <c r="D18" s="14">
        <f t="shared" si="0"/>
        <v>0.61250000000000004</v>
      </c>
      <c r="F18" s="15">
        <f t="shared" si="9"/>
        <v>47880</v>
      </c>
      <c r="G18" s="18">
        <v>5.7500000000000002E-2</v>
      </c>
      <c r="H18" s="14">
        <f t="shared" si="5"/>
        <v>2.875</v>
      </c>
      <c r="I18" s="14">
        <f t="shared" si="3"/>
        <v>2.515625</v>
      </c>
      <c r="K18" s="15">
        <f t="shared" si="10"/>
        <v>46898</v>
      </c>
      <c r="L18" s="16">
        <v>2.8000000000000001E-2</v>
      </c>
      <c r="M18" s="14">
        <f t="shared" si="4"/>
        <v>0.70000000000000007</v>
      </c>
      <c r="N18" s="14">
        <f t="shared" si="1"/>
        <v>0.61250000000000004</v>
      </c>
    </row>
    <row r="19" spans="1:19" ht="15" customHeight="1" x14ac:dyDescent="0.25">
      <c r="A19" s="15">
        <f t="shared" si="8"/>
        <v>46990</v>
      </c>
      <c r="B19" s="16">
        <v>2.8000000000000001E-2</v>
      </c>
      <c r="C19" s="14">
        <f t="shared" si="2"/>
        <v>0.70000000000000007</v>
      </c>
      <c r="D19" s="14">
        <f t="shared" si="0"/>
        <v>0.61250000000000004</v>
      </c>
      <c r="F19" s="15">
        <f t="shared" si="9"/>
        <v>48061</v>
      </c>
      <c r="G19" s="18">
        <v>5.7500000000000002E-2</v>
      </c>
      <c r="H19" s="14">
        <f t="shared" si="5"/>
        <v>2.875</v>
      </c>
      <c r="I19" s="14">
        <f t="shared" si="3"/>
        <v>2.515625</v>
      </c>
      <c r="K19" s="15">
        <f t="shared" si="10"/>
        <v>46990</v>
      </c>
      <c r="L19" s="16">
        <v>2.8000000000000001E-2</v>
      </c>
      <c r="M19" s="14">
        <f t="shared" si="4"/>
        <v>0.70000000000000007</v>
      </c>
      <c r="N19" s="14">
        <f t="shared" si="1"/>
        <v>0.61250000000000004</v>
      </c>
      <c r="P19" s="25">
        <v>47150</v>
      </c>
      <c r="Q19" s="29" t="s">
        <v>13</v>
      </c>
      <c r="R19" s="29"/>
      <c r="S19" s="26">
        <f>(-R5-R17)*12.5%</f>
        <v>0.63625000000000043</v>
      </c>
    </row>
    <row r="20" spans="1:19" ht="15" customHeight="1" x14ac:dyDescent="0.25">
      <c r="A20" s="15">
        <f t="shared" si="8"/>
        <v>47082</v>
      </c>
      <c r="B20" s="16">
        <v>2.8000000000000001E-2</v>
      </c>
      <c r="C20" s="14">
        <f t="shared" si="2"/>
        <v>0.70000000000000007</v>
      </c>
      <c r="D20" s="14">
        <f t="shared" si="0"/>
        <v>0.61250000000000004</v>
      </c>
      <c r="F20" s="15">
        <f t="shared" si="9"/>
        <v>48245</v>
      </c>
      <c r="G20" s="18">
        <v>5.7500000000000002E-2</v>
      </c>
      <c r="H20" s="14">
        <f t="shared" si="5"/>
        <v>2.875</v>
      </c>
      <c r="I20" s="14">
        <f t="shared" si="3"/>
        <v>2.515625</v>
      </c>
      <c r="K20" s="15">
        <f t="shared" si="10"/>
        <v>47082</v>
      </c>
      <c r="L20" s="16">
        <v>2.8000000000000001E-2</v>
      </c>
      <c r="M20" s="14">
        <f t="shared" si="4"/>
        <v>0.70000000000000007</v>
      </c>
      <c r="N20" s="14">
        <f t="shared" si="1"/>
        <v>0.61250000000000004</v>
      </c>
      <c r="P20" s="1"/>
      <c r="Q20" s="2"/>
      <c r="R20" s="7"/>
      <c r="S20" s="7"/>
    </row>
    <row r="21" spans="1:19" ht="15" customHeight="1" x14ac:dyDescent="0.25">
      <c r="A21" s="20">
        <f t="shared" si="8"/>
        <v>47174</v>
      </c>
      <c r="B21" s="21">
        <v>2.8000000000000001E-2</v>
      </c>
      <c r="C21" s="22">
        <f t="shared" si="2"/>
        <v>0.70000000000000007</v>
      </c>
      <c r="D21" s="22">
        <f t="shared" si="0"/>
        <v>0.61250000000000004</v>
      </c>
      <c r="F21" s="15">
        <f t="shared" si="9"/>
        <v>48427</v>
      </c>
      <c r="G21" s="18">
        <v>5.7500000000000002E-2</v>
      </c>
      <c r="H21" s="14">
        <f t="shared" si="5"/>
        <v>2.875</v>
      </c>
      <c r="I21" s="14">
        <f t="shared" si="3"/>
        <v>2.515625</v>
      </c>
      <c r="K21" s="15">
        <f t="shared" si="10"/>
        <v>47174</v>
      </c>
      <c r="L21" s="16">
        <v>2.8000000000000001E-2</v>
      </c>
      <c r="M21" s="19">
        <f t="shared" si="4"/>
        <v>0.70000000000000007</v>
      </c>
      <c r="N21" s="19">
        <f t="shared" si="1"/>
        <v>0.61250000000000004</v>
      </c>
    </row>
    <row r="22" spans="1:19" ht="15" customHeight="1" x14ac:dyDescent="0.25">
      <c r="A22" s="15">
        <f t="shared" si="8"/>
        <v>47263</v>
      </c>
      <c r="B22" s="16">
        <v>3.5999999999999997E-2</v>
      </c>
      <c r="C22" s="14">
        <f t="shared" si="2"/>
        <v>0.89999999999999991</v>
      </c>
      <c r="D22" s="14">
        <f t="shared" si="0"/>
        <v>0.78749999999999987</v>
      </c>
      <c r="F22" s="15">
        <f>EDATE(F21, 6)</f>
        <v>48611</v>
      </c>
      <c r="G22" s="18">
        <v>5.7500000000000002E-2</v>
      </c>
      <c r="H22" s="14">
        <f t="shared" si="5"/>
        <v>2.875</v>
      </c>
      <c r="I22" s="14">
        <f t="shared" si="3"/>
        <v>2.515625</v>
      </c>
      <c r="K22" s="15">
        <f>K21</f>
        <v>47174</v>
      </c>
      <c r="L22" s="16" t="s">
        <v>7</v>
      </c>
      <c r="M22" s="14">
        <v>100</v>
      </c>
      <c r="N22" s="14">
        <f>M22</f>
        <v>100</v>
      </c>
      <c r="P22" s="1"/>
      <c r="Q22" s="2"/>
      <c r="R22" s="7"/>
      <c r="S22" s="7"/>
    </row>
    <row r="23" spans="1:19" ht="15" customHeight="1" x14ac:dyDescent="0.25">
      <c r="A23" s="15">
        <f t="shared" si="8"/>
        <v>47355</v>
      </c>
      <c r="B23" s="16">
        <v>3.5999999999999997E-2</v>
      </c>
      <c r="C23" s="14">
        <f t="shared" si="2"/>
        <v>0.89999999999999991</v>
      </c>
      <c r="D23" s="14">
        <f t="shared" si="0"/>
        <v>0.78749999999999987</v>
      </c>
      <c r="F23" s="15">
        <f>F22</f>
        <v>48611</v>
      </c>
      <c r="G23" s="16" t="s">
        <v>7</v>
      </c>
      <c r="H23" s="14">
        <v>100</v>
      </c>
      <c r="I23" s="14">
        <f>H23</f>
        <v>100</v>
      </c>
    </row>
    <row r="24" spans="1:19" ht="15" customHeight="1" x14ac:dyDescent="0.25">
      <c r="A24" s="15">
        <f t="shared" si="8"/>
        <v>47447</v>
      </c>
      <c r="B24" s="16">
        <v>3.5999999999999997E-2</v>
      </c>
      <c r="C24" s="14">
        <f t="shared" si="2"/>
        <v>0.89999999999999991</v>
      </c>
      <c r="D24" s="14">
        <f t="shared" si="0"/>
        <v>0.78749999999999987</v>
      </c>
      <c r="F24" s="1"/>
    </row>
    <row r="25" spans="1:19" ht="15" customHeight="1" x14ac:dyDescent="0.25">
      <c r="A25" s="15">
        <f t="shared" si="8"/>
        <v>47539</v>
      </c>
      <c r="B25" s="16">
        <v>3.5999999999999997E-2</v>
      </c>
      <c r="C25" s="14">
        <f t="shared" si="2"/>
        <v>0.89999999999999991</v>
      </c>
      <c r="D25" s="14">
        <f t="shared" si="0"/>
        <v>0.78749999999999987</v>
      </c>
      <c r="F25" s="25">
        <v>48611</v>
      </c>
      <c r="G25" s="29" t="s">
        <v>13</v>
      </c>
      <c r="H25" s="29"/>
      <c r="I25" s="26">
        <f>(-H5-H23)*12.5%</f>
        <v>2.1374999999999993</v>
      </c>
    </row>
    <row r="26" spans="1:19" ht="15" customHeight="1" x14ac:dyDescent="0.25">
      <c r="A26" s="15">
        <f t="shared" si="8"/>
        <v>47628</v>
      </c>
      <c r="B26" s="16">
        <v>3.5999999999999997E-2</v>
      </c>
      <c r="C26" s="14">
        <f t="shared" si="2"/>
        <v>0.89999999999999991</v>
      </c>
      <c r="D26" s="14">
        <f t="shared" si="0"/>
        <v>0.78749999999999987</v>
      </c>
      <c r="F26" s="1"/>
      <c r="G26" s="1"/>
      <c r="H26" s="1"/>
      <c r="I26" s="1"/>
    </row>
    <row r="27" spans="1:19" ht="15" customHeight="1" x14ac:dyDescent="0.25">
      <c r="A27" s="15">
        <f t="shared" si="8"/>
        <v>47720</v>
      </c>
      <c r="B27" s="16">
        <v>3.5999999999999997E-2</v>
      </c>
      <c r="C27" s="14">
        <f t="shared" si="2"/>
        <v>0.89999999999999991</v>
      </c>
      <c r="D27" s="14">
        <f t="shared" si="0"/>
        <v>0.78749999999999987</v>
      </c>
      <c r="F27" s="1"/>
      <c r="G27" s="1"/>
      <c r="H27" s="1"/>
      <c r="I27" s="1"/>
    </row>
    <row r="28" spans="1:19" ht="15" customHeight="1" x14ac:dyDescent="0.25">
      <c r="A28" s="15">
        <f t="shared" si="8"/>
        <v>47812</v>
      </c>
      <c r="B28" s="16">
        <v>3.5999999999999997E-2</v>
      </c>
      <c r="C28" s="14">
        <f t="shared" si="2"/>
        <v>0.89999999999999991</v>
      </c>
      <c r="D28" s="14">
        <f t="shared" si="0"/>
        <v>0.78749999999999987</v>
      </c>
      <c r="F28" s="1"/>
      <c r="G28" s="1"/>
      <c r="H28" s="1"/>
      <c r="I28" s="1"/>
    </row>
    <row r="29" spans="1:19" ht="15" customHeight="1" x14ac:dyDescent="0.25">
      <c r="A29" s="15">
        <f t="shared" si="8"/>
        <v>47904</v>
      </c>
      <c r="B29" s="16">
        <v>3.5999999999999997E-2</v>
      </c>
      <c r="C29" s="14">
        <f t="shared" si="2"/>
        <v>0.89999999999999991</v>
      </c>
      <c r="D29" s="14">
        <f t="shared" si="0"/>
        <v>0.78749999999999987</v>
      </c>
      <c r="F29" s="1"/>
    </row>
    <row r="30" spans="1:19" ht="15" customHeight="1" x14ac:dyDescent="0.25">
      <c r="A30" s="15">
        <f t="shared" si="8"/>
        <v>47993</v>
      </c>
      <c r="B30" s="16">
        <v>3.5999999999999997E-2</v>
      </c>
      <c r="C30" s="14">
        <f t="shared" si="2"/>
        <v>0.89999999999999991</v>
      </c>
      <c r="D30" s="14">
        <f t="shared" si="0"/>
        <v>0.78749999999999987</v>
      </c>
      <c r="F30" s="1"/>
    </row>
    <row r="31" spans="1:19" ht="15" customHeight="1" x14ac:dyDescent="0.25">
      <c r="A31" s="15">
        <f t="shared" si="8"/>
        <v>48085</v>
      </c>
      <c r="B31" s="16">
        <v>3.5999999999999997E-2</v>
      </c>
      <c r="C31" s="14">
        <f t="shared" si="2"/>
        <v>0.89999999999999991</v>
      </c>
      <c r="D31" s="14">
        <f t="shared" si="0"/>
        <v>0.78749999999999987</v>
      </c>
      <c r="F31" s="1"/>
    </row>
    <row r="32" spans="1:19" ht="15" customHeight="1" x14ac:dyDescent="0.25">
      <c r="A32" s="15">
        <f t="shared" si="8"/>
        <v>48177</v>
      </c>
      <c r="B32" s="16">
        <v>3.5999999999999997E-2</v>
      </c>
      <c r="C32" s="14">
        <f t="shared" si="2"/>
        <v>0.89999999999999991</v>
      </c>
      <c r="D32" s="14">
        <f t="shared" si="0"/>
        <v>0.78749999999999987</v>
      </c>
      <c r="F32" s="1"/>
    </row>
    <row r="33" spans="1:16" ht="15" customHeight="1" x14ac:dyDescent="0.25">
      <c r="A33" s="15">
        <f t="shared" si="8"/>
        <v>48269</v>
      </c>
      <c r="B33" s="16">
        <v>3.5999999999999997E-2</v>
      </c>
      <c r="C33" s="14">
        <f t="shared" si="2"/>
        <v>0.89999999999999991</v>
      </c>
      <c r="D33" s="14">
        <f t="shared" si="0"/>
        <v>0.78749999999999987</v>
      </c>
      <c r="F33" s="1"/>
    </row>
    <row r="34" spans="1:16" ht="15" customHeight="1" x14ac:dyDescent="0.25">
      <c r="A34" s="15">
        <f t="shared" si="8"/>
        <v>48359</v>
      </c>
      <c r="B34" s="16">
        <v>3.5999999999999997E-2</v>
      </c>
      <c r="C34" s="14">
        <f t="shared" si="2"/>
        <v>0.89999999999999991</v>
      </c>
      <c r="D34" s="14">
        <f t="shared" si="0"/>
        <v>0.78749999999999987</v>
      </c>
      <c r="F34" s="1"/>
    </row>
    <row r="35" spans="1:16" ht="15" customHeight="1" x14ac:dyDescent="0.25">
      <c r="A35" s="15">
        <f t="shared" si="8"/>
        <v>48451</v>
      </c>
      <c r="B35" s="16">
        <v>3.5999999999999997E-2</v>
      </c>
      <c r="C35" s="14">
        <f t="shared" si="2"/>
        <v>0.89999999999999991</v>
      </c>
      <c r="D35" s="14">
        <f t="shared" si="0"/>
        <v>0.78749999999999987</v>
      </c>
      <c r="F35" s="1"/>
    </row>
    <row r="36" spans="1:16" ht="15" customHeight="1" x14ac:dyDescent="0.25">
      <c r="A36" s="15">
        <f t="shared" si="8"/>
        <v>48543</v>
      </c>
      <c r="B36" s="16">
        <v>3.5999999999999997E-2</v>
      </c>
      <c r="C36" s="14">
        <f t="shared" si="2"/>
        <v>0.89999999999999991</v>
      </c>
      <c r="D36" s="14">
        <f t="shared" si="0"/>
        <v>0.78749999999999987</v>
      </c>
    </row>
    <row r="37" spans="1:16" ht="15" customHeight="1" x14ac:dyDescent="0.25">
      <c r="A37" s="15">
        <f>EDATE(A36, 3)</f>
        <v>48635</v>
      </c>
      <c r="B37" s="16">
        <v>3.5999999999999997E-2</v>
      </c>
      <c r="C37" s="14">
        <f>(100*B37/4)</f>
        <v>0.89999999999999991</v>
      </c>
      <c r="D37" s="14">
        <f t="shared" si="0"/>
        <v>0.78749999999999987</v>
      </c>
    </row>
    <row r="38" spans="1:16" ht="15" customHeight="1" x14ac:dyDescent="0.25">
      <c r="A38" s="15">
        <f>A37</f>
        <v>48635</v>
      </c>
      <c r="B38" s="16" t="s">
        <v>7</v>
      </c>
      <c r="C38" s="14">
        <v>100</v>
      </c>
      <c r="D38" s="14">
        <f>C38</f>
        <v>100</v>
      </c>
    </row>
    <row r="39" spans="1:16" x14ac:dyDescent="0.25">
      <c r="A39" s="1"/>
      <c r="F39" s="23"/>
      <c r="P39" s="24"/>
    </row>
  </sheetData>
  <mergeCells count="6">
    <mergeCell ref="A1:D1"/>
    <mergeCell ref="F1:I1"/>
    <mergeCell ref="P1:S1"/>
    <mergeCell ref="K1:N1"/>
    <mergeCell ref="G25:H25"/>
    <mergeCell ref="Q19:R19"/>
  </mergeCells>
  <hyperlinks>
    <hyperlink ref="F1:I1" r:id="rId1" display="IT0003256820 - BTP 01/02/2033 5,75%(No CACs)" xr:uid="{D6495511-87BA-45C9-AB16-BB8BC7D7EC07}"/>
    <hyperlink ref="P1:S1" r:id="rId2" display="IT0005566408 - BTP 01/02/2029 4,1% - MOT" xr:uid="{F34A1637-FB7C-42CC-922C-249A1EA1616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602CBC-CA2E-4B25-A7A7-40A88210DEBC}">
  <dimension ref="A1:C9"/>
  <sheetViews>
    <sheetView workbookViewId="0">
      <selection activeCell="C9" sqref="C9"/>
    </sheetView>
  </sheetViews>
  <sheetFormatPr defaultRowHeight="15" x14ac:dyDescent="0.25"/>
  <cols>
    <col min="1" max="1" width="17" bestFit="1" customWidth="1"/>
    <col min="2" max="3" width="20.140625" customWidth="1"/>
  </cols>
  <sheetData>
    <row r="1" spans="1:3" x14ac:dyDescent="0.25">
      <c r="A1" s="12" t="s">
        <v>16</v>
      </c>
      <c r="B1" s="33">
        <v>10000</v>
      </c>
    </row>
    <row r="3" spans="1:3" ht="30" x14ac:dyDescent="0.25">
      <c r="A3" s="12"/>
      <c r="B3" s="31" t="s">
        <v>14</v>
      </c>
      <c r="C3" s="32" t="s">
        <v>15</v>
      </c>
    </row>
    <row r="4" spans="1:3" x14ac:dyDescent="0.25">
      <c r="A4" s="10" t="s">
        <v>3</v>
      </c>
      <c r="B4" s="18">
        <f>Confronti!C2</f>
        <v>3.20093423128128E-2</v>
      </c>
      <c r="C4" s="18">
        <f>Confronti!H2</f>
        <v>3.3165428042411807E-2</v>
      </c>
    </row>
    <row r="5" spans="1:3" x14ac:dyDescent="0.25">
      <c r="A5" s="12" t="s">
        <v>17</v>
      </c>
      <c r="B5" s="30">
        <f>($B$1*B4)*8</f>
        <v>2560.747385025024</v>
      </c>
      <c r="C5" s="30">
        <f>($B$1*C4)*8</f>
        <v>2653.2342433929443</v>
      </c>
    </row>
    <row r="7" spans="1:3" ht="30" x14ac:dyDescent="0.25">
      <c r="A7" s="12"/>
      <c r="B7" s="31" t="s">
        <v>14</v>
      </c>
      <c r="C7" s="32" t="s">
        <v>19</v>
      </c>
    </row>
    <row r="8" spans="1:3" x14ac:dyDescent="0.25">
      <c r="A8" s="10" t="s">
        <v>3</v>
      </c>
      <c r="B8" s="18">
        <f>Confronti!M2</f>
        <v>2.8114405274391172E-2</v>
      </c>
      <c r="C8" s="18">
        <f>Confronti!R2</f>
        <v>2.7529743313789368E-2</v>
      </c>
    </row>
    <row r="9" spans="1:3" x14ac:dyDescent="0.25">
      <c r="A9" s="12" t="s">
        <v>18</v>
      </c>
      <c r="B9" s="30">
        <f>($B$1*B8)*4</f>
        <v>1124.576210975647</v>
      </c>
      <c r="C9" s="30">
        <f>($B$1*C8)*4</f>
        <v>1101.1897325515747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Confronti</vt:lpstr>
      <vt:lpstr>Riepilogo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Stefano Fabbri</dc:creator>
  <cp:lastModifiedBy>Stefano Fabbri</cp:lastModifiedBy>
  <dcterms:created xsi:type="dcterms:W3CDTF">2025-02-06T06:29:25Z</dcterms:created>
  <dcterms:modified xsi:type="dcterms:W3CDTF">2025-02-14T14:24:21Z</dcterms:modified>
</cp:coreProperties>
</file>